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8440" windowHeight="16540" tabRatio="500"/>
  </bookViews>
  <sheets>
    <sheet name="7% SPREADSHEET (EASY)" sheetId="2" r:id="rId1"/>
    <sheet name="7% SPREADSHEET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6" i="2" l="1"/>
  <c r="N15" i="2"/>
  <c r="N4" i="2"/>
  <c r="T2" i="2"/>
  <c r="O29" i="2"/>
  <c r="P29" i="2"/>
  <c r="H15" i="2"/>
  <c r="Q28" i="2"/>
  <c r="P28" i="2"/>
  <c r="O18" i="2"/>
  <c r="P18" i="2"/>
  <c r="Q17" i="2"/>
  <c r="P17" i="2"/>
  <c r="O30" i="2"/>
  <c r="O19" i="2"/>
  <c r="O8" i="2"/>
  <c r="O7" i="2"/>
  <c r="R28" i="2"/>
  <c r="R29" i="2"/>
  <c r="R30" i="2"/>
  <c r="R17" i="2"/>
  <c r="R18" i="2"/>
  <c r="R19" i="2"/>
  <c r="P6" i="2"/>
  <c r="Q6" i="2"/>
  <c r="R6" i="2"/>
  <c r="P7" i="2"/>
  <c r="R7" i="2"/>
  <c r="R8" i="2"/>
  <c r="H41" i="2"/>
  <c r="G44" i="2"/>
  <c r="G43" i="2"/>
  <c r="H35" i="2"/>
  <c r="G38" i="2"/>
  <c r="G31" i="2"/>
  <c r="G37" i="2"/>
  <c r="G45" i="2"/>
  <c r="G46" i="2"/>
  <c r="H43" i="2"/>
  <c r="G39" i="2"/>
  <c r="G40" i="2"/>
  <c r="H37" i="2"/>
  <c r="H29" i="2"/>
  <c r="G24" i="2"/>
  <c r="H24" i="2"/>
  <c r="G23" i="2"/>
  <c r="H23" i="2"/>
  <c r="G22" i="2"/>
  <c r="H22" i="2"/>
  <c r="G21" i="2"/>
  <c r="H21" i="2"/>
  <c r="G20" i="2"/>
  <c r="H20" i="2"/>
  <c r="G19" i="2"/>
  <c r="H19" i="2"/>
  <c r="G12" i="2"/>
  <c r="H12" i="2"/>
  <c r="G11" i="2"/>
  <c r="H11" i="2"/>
  <c r="G10" i="2"/>
  <c r="H10" i="2"/>
  <c r="G9" i="2"/>
  <c r="H9" i="2"/>
  <c r="G32" i="2"/>
  <c r="G33" i="2"/>
  <c r="G34" i="2"/>
  <c r="H31" i="2"/>
  <c r="G8" i="2"/>
  <c r="H8" i="2"/>
  <c r="I30" i="1"/>
  <c r="L39" i="1"/>
  <c r="M39" i="1"/>
  <c r="N39" i="1"/>
  <c r="O39" i="1"/>
  <c r="L41" i="1"/>
  <c r="M41" i="1"/>
  <c r="N41" i="1"/>
  <c r="O41" i="1"/>
  <c r="L43" i="1"/>
  <c r="M43" i="1"/>
  <c r="N43" i="1"/>
  <c r="O43" i="1"/>
  <c r="F48" i="1"/>
  <c r="F50" i="1"/>
  <c r="G52" i="1"/>
  <c r="F49" i="1"/>
  <c r="I22" i="1"/>
  <c r="I19" i="1"/>
  <c r="I43" i="1"/>
  <c r="I41" i="1"/>
  <c r="I39" i="1"/>
  <c r="I33" i="1"/>
  <c r="I16" i="1"/>
  <c r="I13" i="1"/>
</calcChain>
</file>

<file path=xl/sharedStrings.xml><?xml version="1.0" encoding="utf-8"?>
<sst xmlns="http://schemas.openxmlformats.org/spreadsheetml/2006/main" count="134" uniqueCount="103">
  <si>
    <t>STEP 1:</t>
  </si>
  <si>
    <t>COMPARISON OF RETURN ON SALE BASED ON DIFFERENT COMMISSION AMOUNTS:</t>
  </si>
  <si>
    <t>5% COMMISSION FULL PRICE OFFER</t>
  </si>
  <si>
    <t>7% COMMISSION FULL PRICE OFFER</t>
  </si>
  <si>
    <t>STEP 2:</t>
  </si>
  <si>
    <t>ADD 1% TO THE LIST PRICE AND RE-LIST AT 7%</t>
  </si>
  <si>
    <t>+1% TO ABOVE TO ESTABLISH NEW LISTING PRICE</t>
  </si>
  <si>
    <t xml:space="preserve">7% COMMISSION FULL PRICE OFFER </t>
  </si>
  <si>
    <t>BIDDING WAR OF +1%</t>
  </si>
  <si>
    <t>BIDDING WAR OF + 3%</t>
  </si>
  <si>
    <t>BIDDING WAR OF +5%</t>
  </si>
  <si>
    <t>WHY DISCOUNTING COMMISSIONS COSTS THE SELLER MONEY!</t>
  </si>
  <si>
    <t>This is what is returned to the seller when we get full price offers</t>
  </si>
  <si>
    <t>HOME PRICE BASED ON COMPARABLES AND CMA</t>
  </si>
  <si>
    <t>This is what is returned to the seller if we get a non-negotiation full price offer, which rarely happens</t>
  </si>
  <si>
    <t>Seller must get a 97.9% or better offer just to equal the 7% commission return</t>
  </si>
  <si>
    <t>This is what is returned to the seller on an average 4% off of list - industry average</t>
  </si>
  <si>
    <t>This means that on the 5% listing if the seller settles on anything below 97.9% of list, they LOSE money</t>
  </si>
  <si>
    <t>compared to a 7% listing where we get a full price offer.</t>
  </si>
  <si>
    <t xml:space="preserve">This is what is returned to the seller when we get full price offers which is common based on the </t>
  </si>
  <si>
    <t>fact that many buyer's agents out there want the 4% buyer's side commission</t>
  </si>
  <si>
    <t>We now list the house with a 7% commission where we have 3% listing and 4% buyer agent split</t>
  </si>
  <si>
    <t>STEP 3:</t>
  </si>
  <si>
    <t>This is what is returned to the seller if we get in a bidding war for the property with 1% additional</t>
  </si>
  <si>
    <t>This is what is returned to the seller if we get in a bidding war for the property with 3% additional</t>
  </si>
  <si>
    <t>This is what is returned to the seller if we get in a bidding war for the property with 5% additional</t>
  </si>
  <si>
    <t>EXTREMELY COMMON RESULT</t>
  </si>
  <si>
    <t>MOST COMMON RESULT ON 5% LISTING</t>
  </si>
  <si>
    <t>THE BREAK EVEN POINT VS. 7%</t>
  </si>
  <si>
    <t>RARELY HAPPENS</t>
  </si>
  <si>
    <t>IMPORTANT NOTE:  All of these numbers are BEFORE and DO NOT consider the expenses of listing and selling.  This analysis</t>
  </si>
  <si>
    <t xml:space="preserve">is simply to show the differences in costs in terms of commission and return on the sale of a home prior to expenses.  </t>
  </si>
  <si>
    <t>ENTER THE CMA/COMP VALUE OF THE HOME</t>
  </si>
  <si>
    <t>5% COMMISSION AT NEGOTIATING TO 96% OF LIST - INDUSTRY AVERAGE</t>
  </si>
  <si>
    <t>THUS, IF THE 5% LISING GETS NEGOTIATED DOWN ANY MORE THAN 2.1%, THEY HAVE LOST MONEY VS. A FULL PRICE 7% OFFER!!</t>
  </si>
  <si>
    <t>MLS LISTING AT 3% LISTING SIDE 4% BUYING SIDE</t>
  </si>
  <si>
    <t xml:space="preserve">             SELLING PRICE OF</t>
  </si>
  <si>
    <t>NOTES:</t>
  </si>
  <si>
    <t>It is understood by buyer's agent and buyer that closing on a property at a price higher than the highest appraised value may require additional cash to close form buyer.</t>
  </si>
  <si>
    <t>GOOD SELLERS MARKET:  WHAT IS MORE LIKELY?</t>
  </si>
  <si>
    <t>THE 5% LISTING FULL PRICE OFFER OF 100% OF LIST:</t>
  </si>
  <si>
    <t>THE 7% LISTING AT ONLY 101% OF LIST OFFER:</t>
  </si>
  <si>
    <t>Thus, a full price offer on the 5% listing is approximately THE SAME as a 101% offer at the 7% listing.  Which is more likely to happen, quicker?</t>
  </si>
  <si>
    <t>THE 7% LISTING AT ONLY FULL PRICE OFFER:</t>
  </si>
  <si>
    <t xml:space="preserve">If you only compare the full price offer on the 5% vs. the 7% is a difference of </t>
  </si>
  <si>
    <t>Thus, is it worth this amount to sell the property in days versus month?</t>
  </si>
  <si>
    <t>Base</t>
  </si>
  <si>
    <t>Override</t>
  </si>
  <si>
    <t xml:space="preserve"> Listing Agent Commission</t>
  </si>
  <si>
    <t>The overrides sometimes based on the contract only kick in at the % above list that you have negotiated with the seller.  For example override kicks in at 105% of list sale.</t>
  </si>
  <si>
    <t>Total Comm.</t>
  </si>
  <si>
    <t>It is suggested that the override commission be written into the contract in order to be completely clear on commission amounts with the seller.</t>
  </si>
  <si>
    <t>Override commissions may or may not be part of splits and fees at your brokerage if there are any.</t>
  </si>
  <si>
    <t>WHY LISTING AT 7% (3% / 4%) PUT MORE MONEY IN THE SELLER'S POCKET</t>
  </si>
  <si>
    <t>HOUSE SELLS FOR 96% OF LIST (4% NEGOTIATION)</t>
  </si>
  <si>
    <t>MOST LIKELY SCENARIOS IF PROPERTY IS LISTED FOR 5% (2.5% &amp; 2.5% IN MLS)</t>
  </si>
  <si>
    <t>MOST LIKELY SCENARIOS IF PROPERTY IS LISTED FOR 7% (3% &amp; 4% IN MLS)</t>
  </si>
  <si>
    <t>SELLING PRICE</t>
  </si>
  <si>
    <t>AFTER COMM.</t>
  </si>
  <si>
    <t>SELLER GETS</t>
  </si>
  <si>
    <t xml:space="preserve"> </t>
  </si>
  <si>
    <t>COMP / FAIR MKT $</t>
  </si>
  <si>
    <t>NEW LIST WITH +1%</t>
  </si>
  <si>
    <t>STEP 2:  ADD 1% TO THE LISTING PRICE OF THE HOME AND LIST AT 7% (Buying Side: 4%)</t>
  </si>
  <si>
    <t>HOUSE SELLS FOR FULL PRICE (probably several offers at this)</t>
  </si>
  <si>
    <t>HOUSE SELLS FOR 103% (3% PREMIUM OF LIST - most likely)</t>
  </si>
  <si>
    <t>HOUSE SELLS FOR 104% (4% PREMIUM OF LIST - somewhat likely)</t>
  </si>
  <si>
    <t>STEP 1:  FIND OUT THE LIKELY SCENARIOS OF A REGULAR LISTING AT 5%</t>
  </si>
  <si>
    <t>REALTOR RECEIVED 10% OF ALL MONEY OVER ORIGINAL LISTED PRICE</t>
  </si>
  <si>
    <t>HOUSE SELLS FOR 5% PREMIUM OF LIST</t>
  </si>
  <si>
    <t>OVERRIDE COMMISSION</t>
  </si>
  <si>
    <t>BASE COMMISSION</t>
  </si>
  <si>
    <t>TOTAL COMMISSION</t>
  </si>
  <si>
    <t>HOUSE SELLS FOR 97% OF LIST (3% NEGOTIATION)</t>
  </si>
  <si>
    <t>HOUSE SELLS FOR 98% OF LIST (2% NEGOTIATION)</t>
  </si>
  <si>
    <t>HOUSE SELLS FOR 99% OF LIST (1% NEGOTIATION)</t>
  </si>
  <si>
    <t>HOUSE SELLS FOR 100% OF LIST (FULL PRICE SALE)</t>
  </si>
  <si>
    <t>HOUSE SELLS FOR 102% (2% PREMIUM OF LIST - somewhat likely)</t>
  </si>
  <si>
    <t>HOUSE SELLS FOR 105% (5% PREMIUM OF LIST - still very likely)</t>
  </si>
  <si>
    <t>HOUSE SELLS FOR 101% (1% PREMIUM OF LIST)</t>
  </si>
  <si>
    <t>HOUSE SELLS FOR 3% PREMIUM OF LIST</t>
  </si>
  <si>
    <t>HOUSE SELLS FOR 4% PREMIUM OF LIST</t>
  </si>
  <si>
    <t>IF HOME SELLS AT 3% OVER LIST</t>
  </si>
  <si>
    <t>IF HOME SELLS AT 4% OVER LIST</t>
  </si>
  <si>
    <t>IF HOME SELLS AT 5% OVER LIST</t>
  </si>
  <si>
    <t>STEP 3:  ADD AN OVERRIDE CLAUSE TO THE CONTRACT</t>
  </si>
  <si>
    <t>NOW ADD THE 7% EXTREME  TO DRIVE PRICE UP</t>
  </si>
  <si>
    <t>SELLER</t>
  </si>
  <si>
    <t>PRICE</t>
  </si>
  <si>
    <t>COMM %</t>
  </si>
  <si>
    <t>OVERRIDE</t>
  </si>
  <si>
    <t>TOTAL</t>
  </si>
  <si>
    <t>LISTING 2%</t>
  </si>
  <si>
    <t>BUYING 5%</t>
  </si>
  <si>
    <t>NA</t>
  </si>
  <si>
    <t>LISTING 1%</t>
  </si>
  <si>
    <t>BUYING 6%</t>
  </si>
  <si>
    <t>LISTING 0%</t>
  </si>
  <si>
    <t>BUYING 7%</t>
  </si>
  <si>
    <t>THE 3/4 SPLIT REGULAR 7% TECHNIQUE REMAINS UNTIL THE PRICE REACHES</t>
  </si>
  <si>
    <t>COMMISSION GOES TO 2/5 &amp; THE COMMISSION OVERRIDE IS 25%</t>
  </si>
  <si>
    <t>COMMISSION GOES TO 1/6 &amp; THE COMMISSION OVERRIDE IS 35%</t>
  </si>
  <si>
    <t>COMMISSION GOES TO 0/7 &amp; THE COMMISSION OVERRIDE IS 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</si>
</sst>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6" formatCode="&quot;$&quot;#,##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scheme val="minor"/>
    </font>
    <font>
      <b/>
      <sz val="18"/>
      <color theme="1"/>
      <name val="Calibri"/>
      <scheme val="minor"/>
    </font>
    <font>
      <b/>
      <sz val="12"/>
      <color rgb="FFFF0000"/>
      <name val="Calibri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scheme val="minor"/>
    </font>
    <font>
      <sz val="16"/>
      <color theme="1"/>
      <name val="Calibri"/>
      <scheme val="minor"/>
    </font>
    <font>
      <b/>
      <u/>
      <sz val="12"/>
      <color theme="1"/>
      <name val="Calibri"/>
      <scheme val="minor"/>
    </font>
    <font>
      <b/>
      <sz val="17"/>
      <color theme="1"/>
      <name val="Calibri"/>
      <scheme val="minor"/>
    </font>
    <font>
      <b/>
      <sz val="17"/>
      <color rgb="FFFF0000"/>
      <name val="Calibri"/>
      <scheme val="minor"/>
    </font>
    <font>
      <b/>
      <sz val="17"/>
      <color theme="3" tint="0.39997558519241921"/>
      <name val="Calibri"/>
      <scheme val="minor"/>
    </font>
    <font>
      <b/>
      <sz val="17"/>
      <color rgb="FF008000"/>
      <name val="Calibri"/>
      <scheme val="minor"/>
    </font>
    <font>
      <sz val="12"/>
      <color rgb="FF000000"/>
      <name val="Calibri"/>
      <family val="2"/>
      <scheme val="minor"/>
    </font>
    <font>
      <b/>
      <u/>
      <sz val="17"/>
      <color rgb="FF008000"/>
      <name val="Calibri"/>
      <scheme val="minor"/>
    </font>
    <font>
      <b/>
      <sz val="15"/>
      <color rgb="FF008000"/>
      <name val="Calibri"/>
      <scheme val="minor"/>
    </font>
    <font>
      <b/>
      <sz val="24"/>
      <color theme="1"/>
      <name val="Calibri"/>
      <scheme val="minor"/>
    </font>
    <font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D78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0" xfId="0" quotePrefix="1"/>
    <xf numFmtId="0" fontId="4" fillId="0" borderId="0" xfId="0" applyFont="1"/>
    <xf numFmtId="0" fontId="5" fillId="0" borderId="0" xfId="0" applyFont="1"/>
    <xf numFmtId="164" fontId="0" fillId="0" borderId="0" xfId="1" applyFont="1"/>
    <xf numFmtId="164" fontId="0" fillId="0" borderId="1" xfId="1" applyFont="1" applyBorder="1"/>
    <xf numFmtId="164" fontId="0" fillId="0" borderId="0" xfId="1" applyFont="1" applyBorder="1"/>
    <xf numFmtId="164" fontId="6" fillId="0" borderId="1" xfId="1" applyFont="1" applyBorder="1"/>
    <xf numFmtId="164" fontId="6" fillId="0" borderId="0" xfId="1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164" fontId="0" fillId="0" borderId="0" xfId="0" applyNumberFormat="1"/>
    <xf numFmtId="0" fontId="9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0" fontId="0" fillId="0" borderId="5" xfId="0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164" fontId="0" fillId="2" borderId="0" xfId="1" applyFont="1" applyFill="1" applyBorder="1"/>
    <xf numFmtId="0" fontId="10" fillId="2" borderId="0" xfId="0" applyFont="1" applyFill="1"/>
    <xf numFmtId="164" fontId="0" fillId="2" borderId="0" xfId="1" applyFont="1" applyFill="1"/>
    <xf numFmtId="0" fontId="10" fillId="2" borderId="0" xfId="0" applyFont="1" applyFill="1" applyAlignment="1">
      <alignment horizontal="right"/>
    </xf>
    <xf numFmtId="164" fontId="0" fillId="2" borderId="0" xfId="0" applyNumberFormat="1" applyFill="1"/>
    <xf numFmtId="0" fontId="7" fillId="2" borderId="0" xfId="0" applyFont="1" applyFill="1" applyAlignment="1">
      <alignment horizontal="right"/>
    </xf>
    <xf numFmtId="164" fontId="11" fillId="2" borderId="1" xfId="1" applyFont="1" applyFill="1" applyBorder="1"/>
    <xf numFmtId="0" fontId="12" fillId="2" borderId="0" xfId="0" applyFont="1" applyFill="1"/>
    <xf numFmtId="0" fontId="0" fillId="3" borderId="0" xfId="0" applyFill="1"/>
    <xf numFmtId="164" fontId="0" fillId="3" borderId="0" xfId="1" applyFont="1" applyFill="1" applyBorder="1"/>
    <xf numFmtId="164" fontId="11" fillId="3" borderId="1" xfId="1" applyFont="1" applyFill="1" applyBorder="1"/>
    <xf numFmtId="0" fontId="7" fillId="3" borderId="0" xfId="0" applyFont="1" applyFill="1" applyAlignment="1">
      <alignment horizontal="right"/>
    </xf>
    <xf numFmtId="0" fontId="10" fillId="3" borderId="0" xfId="0" applyFont="1" applyFill="1"/>
    <xf numFmtId="0" fontId="10" fillId="3" borderId="0" xfId="0" applyFont="1" applyFill="1" applyAlignment="1">
      <alignment horizontal="right"/>
    </xf>
    <xf numFmtId="164" fontId="0" fillId="3" borderId="0" xfId="1" applyFont="1" applyFill="1"/>
    <xf numFmtId="164" fontId="0" fillId="3" borderId="0" xfId="0" applyNumberFormat="1" applyFill="1"/>
    <xf numFmtId="0" fontId="13" fillId="3" borderId="0" xfId="0" applyFont="1" applyFill="1"/>
    <xf numFmtId="0" fontId="0" fillId="0" borderId="0" xfId="0" applyFill="1"/>
    <xf numFmtId="164" fontId="0" fillId="0" borderId="0" xfId="1" applyFont="1" applyFill="1"/>
    <xf numFmtId="164" fontId="0" fillId="0" borderId="0" xfId="0" applyNumberFormat="1" applyFill="1"/>
    <xf numFmtId="0" fontId="0" fillId="4" borderId="0" xfId="0" applyFill="1"/>
    <xf numFmtId="164" fontId="0" fillId="4" borderId="0" xfId="1" applyFont="1" applyFill="1" applyBorder="1"/>
    <xf numFmtId="0" fontId="14" fillId="4" borderId="0" xfId="0" applyFont="1" applyFill="1"/>
    <xf numFmtId="0" fontId="15" fillId="5" borderId="0" xfId="0" applyFont="1" applyFill="1"/>
    <xf numFmtId="0" fontId="15" fillId="0" borderId="0" xfId="0" applyFont="1"/>
    <xf numFmtId="0" fontId="15" fillId="6" borderId="0" xfId="0" applyFont="1" applyFill="1"/>
    <xf numFmtId="0" fontId="16" fillId="4" borderId="0" xfId="0" applyFont="1" applyFill="1"/>
    <xf numFmtId="0" fontId="17" fillId="4" borderId="10" xfId="0" applyFont="1" applyFill="1" applyBorder="1"/>
    <xf numFmtId="0" fontId="0" fillId="4" borderId="11" xfId="0" applyFill="1" applyBorder="1"/>
    <xf numFmtId="164" fontId="0" fillId="4" borderId="11" xfId="1" applyFont="1" applyFill="1" applyBorder="1"/>
    <xf numFmtId="164" fontId="11" fillId="4" borderId="12" xfId="1" applyFont="1" applyFill="1" applyBorder="1"/>
    <xf numFmtId="0" fontId="10" fillId="4" borderId="13" xfId="0" applyFont="1" applyFill="1" applyBorder="1"/>
    <xf numFmtId="0" fontId="0" fillId="4" borderId="0" xfId="0" applyFill="1" applyBorder="1"/>
    <xf numFmtId="0" fontId="10" fillId="4" borderId="0" xfId="0" applyFont="1" applyFill="1" applyBorder="1" applyAlignment="1">
      <alignment horizontal="right"/>
    </xf>
    <xf numFmtId="0" fontId="10" fillId="4" borderId="14" xfId="0" applyFont="1" applyFill="1" applyBorder="1" applyAlignment="1">
      <alignment horizontal="right"/>
    </xf>
    <xf numFmtId="0" fontId="0" fillId="4" borderId="13" xfId="0" applyFill="1" applyBorder="1"/>
    <xf numFmtId="164" fontId="0" fillId="4" borderId="14" xfId="0" applyNumberFormat="1" applyFill="1" applyBorder="1"/>
    <xf numFmtId="0" fontId="0" fillId="0" borderId="13" xfId="0" applyBorder="1"/>
    <xf numFmtId="0" fontId="0" fillId="4" borderId="0" xfId="0" applyFill="1" applyBorder="1" applyAlignment="1">
      <alignment horizontal="right"/>
    </xf>
    <xf numFmtId="0" fontId="0" fillId="0" borderId="14" xfId="0" applyBorder="1"/>
    <xf numFmtId="164" fontId="0" fillId="4" borderId="0" xfId="0" applyNumberFormat="1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 applyAlignment="1">
      <alignment horizontal="right"/>
    </xf>
    <xf numFmtId="164" fontId="0" fillId="4" borderId="16" xfId="0" applyNumberFormat="1" applyFill="1" applyBorder="1"/>
    <xf numFmtId="0" fontId="0" fillId="0" borderId="17" xfId="0" applyBorder="1"/>
    <xf numFmtId="0" fontId="15" fillId="0" borderId="0" xfId="0" applyFont="1" applyFill="1"/>
    <xf numFmtId="0" fontId="18" fillId="0" borderId="0" xfId="0" applyFont="1"/>
    <xf numFmtId="0" fontId="0" fillId="7" borderId="0" xfId="0" applyFill="1"/>
    <xf numFmtId="0" fontId="7" fillId="7" borderId="0" xfId="0" applyFont="1" applyFill="1"/>
    <xf numFmtId="0" fontId="5" fillId="7" borderId="0" xfId="0" quotePrefix="1" applyFont="1" applyFill="1"/>
    <xf numFmtId="0" fontId="7" fillId="0" borderId="0" xfId="0" applyFont="1" applyFill="1"/>
    <xf numFmtId="166" fontId="0" fillId="0" borderId="0" xfId="0" applyNumberFormat="1"/>
    <xf numFmtId="0" fontId="0" fillId="8" borderId="0" xfId="0" applyFill="1"/>
    <xf numFmtId="0" fontId="7" fillId="8" borderId="0" xfId="0" applyFont="1" applyFill="1"/>
    <xf numFmtId="166" fontId="7" fillId="8" borderId="0" xfId="0" applyNumberFormat="1" applyFont="1" applyFill="1"/>
    <xf numFmtId="166" fontId="7" fillId="8" borderId="0" xfId="0" applyNumberFormat="1" applyFont="1" applyFill="1" applyAlignment="1">
      <alignment horizontal="center"/>
    </xf>
    <xf numFmtId="166" fontId="7" fillId="7" borderId="0" xfId="0" applyNumberFormat="1" applyFont="1" applyFill="1"/>
    <xf numFmtId="166" fontId="7" fillId="7" borderId="0" xfId="0" applyNumberFormat="1" applyFont="1" applyFill="1" applyAlignment="1">
      <alignment horizontal="center"/>
    </xf>
    <xf numFmtId="0" fontId="5" fillId="9" borderId="0" xfId="0" quotePrefix="1" applyFont="1" applyFill="1"/>
    <xf numFmtId="0" fontId="0" fillId="9" borderId="0" xfId="0" applyFill="1"/>
    <xf numFmtId="0" fontId="7" fillId="9" borderId="0" xfId="0" applyFont="1" applyFill="1"/>
    <xf numFmtId="166" fontId="7" fillId="9" borderId="0" xfId="0" applyNumberFormat="1" applyFont="1" applyFill="1"/>
    <xf numFmtId="166" fontId="7" fillId="9" borderId="0" xfId="0" applyNumberFormat="1" applyFont="1" applyFill="1" applyAlignment="1">
      <alignment horizontal="center"/>
    </xf>
    <xf numFmtId="44" fontId="0" fillId="0" borderId="0" xfId="0" applyNumberFormat="1"/>
    <xf numFmtId="0" fontId="5" fillId="8" borderId="0" xfId="0" applyFont="1" applyFill="1"/>
    <xf numFmtId="44" fontId="5" fillId="8" borderId="0" xfId="0" quotePrefix="1" applyNumberFormat="1" applyFont="1" applyFill="1"/>
    <xf numFmtId="44" fontId="5" fillId="9" borderId="0" xfId="0" quotePrefix="1" applyNumberFormat="1" applyFont="1" applyFill="1"/>
    <xf numFmtId="44" fontId="5" fillId="7" borderId="0" xfId="0" quotePrefix="1" applyNumberFormat="1" applyFont="1" applyFill="1"/>
    <xf numFmtId="0" fontId="19" fillId="0" borderId="0" xfId="0" applyFont="1"/>
  </cellXfs>
  <cellStyles count="1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10</xdr:row>
      <xdr:rowOff>158750</xdr:rowOff>
    </xdr:from>
    <xdr:to>
      <xdr:col>9</xdr:col>
      <xdr:colOff>571500</xdr:colOff>
      <xdr:row>12</xdr:row>
      <xdr:rowOff>52831</xdr:rowOff>
    </xdr:to>
    <xdr:sp macro="" textlink="">
      <xdr:nvSpPr>
        <xdr:cNvPr id="3" name="Left Arrow 2"/>
        <xdr:cNvSpPr/>
      </xdr:nvSpPr>
      <xdr:spPr>
        <a:xfrm>
          <a:off x="9540875" y="2365375"/>
          <a:ext cx="1333500" cy="275081"/>
        </a:xfrm>
        <a:prstGeom prst="leftArrow">
          <a:avLst/>
        </a:prstGeom>
        <a:solidFill>
          <a:srgbClr val="FFFF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663575</xdr:colOff>
      <xdr:row>11</xdr:row>
      <xdr:rowOff>41275</xdr:rowOff>
    </xdr:from>
    <xdr:ext cx="2578100" cy="1803400"/>
    <xdr:sp macro="" textlink="">
      <xdr:nvSpPr>
        <xdr:cNvPr id="6" name="TextBox 5"/>
        <xdr:cNvSpPr txBox="1"/>
      </xdr:nvSpPr>
      <xdr:spPr>
        <a:xfrm>
          <a:off x="10966450" y="2438400"/>
          <a:ext cx="2578100" cy="18034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NOTICE HOW EVEN IF THE REGULARLY LISTING HOUSE AT 5% GETS A FULL PRICE OFFER, THE 7% LISTED HOUSE ONLY</a:t>
          </a:r>
          <a:r>
            <a:rPr lang="en-US" sz="1200" baseline="0"/>
            <a:t> NEED SLIGHTLY MORE THAN A 1% BIDDING WAR TO EQUAL THE SAME MONEY.  THE CHANCE OF A HOUSE LISTED AT 4% ON THE BUYERS SIDE, GETTING A 1%+ BIDDING WAR IS EXTREMELY HIGH!</a:t>
          </a:r>
          <a:endParaRPr lang="en-US" sz="1200"/>
        </a:p>
      </xdr:txBody>
    </xdr:sp>
    <xdr:clientData/>
  </xdr:oneCellAnchor>
  <xdr:twoCellAnchor>
    <xdr:from>
      <xdr:col>8</xdr:col>
      <xdr:colOff>41275</xdr:colOff>
      <xdr:row>18</xdr:row>
      <xdr:rowOff>136525</xdr:rowOff>
    </xdr:from>
    <xdr:to>
      <xdr:col>9</xdr:col>
      <xdr:colOff>549275</xdr:colOff>
      <xdr:row>20</xdr:row>
      <xdr:rowOff>30606</xdr:rowOff>
    </xdr:to>
    <xdr:sp macro="" textlink="">
      <xdr:nvSpPr>
        <xdr:cNvPr id="7" name="Left Arrow 6"/>
        <xdr:cNvSpPr/>
      </xdr:nvSpPr>
      <xdr:spPr>
        <a:xfrm>
          <a:off x="9518650" y="3978275"/>
          <a:ext cx="1333500" cy="275081"/>
        </a:xfrm>
        <a:prstGeom prst="leftArrow">
          <a:avLst/>
        </a:prstGeom>
        <a:solidFill>
          <a:srgbClr val="FFFF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="80" zoomScaleNormal="80" zoomScalePageLayoutView="80" workbookViewId="0">
      <selection activeCell="K32" sqref="K32"/>
    </sheetView>
  </sheetViews>
  <sheetFormatPr baseColWidth="10" defaultRowHeight="15" x14ac:dyDescent="0"/>
  <cols>
    <col min="6" max="6" width="27.83203125" customWidth="1"/>
    <col min="7" max="7" width="22.5" customWidth="1"/>
    <col min="8" max="8" width="19.83203125" customWidth="1"/>
    <col min="10" max="10" width="12.5" bestFit="1" customWidth="1"/>
    <col min="14" max="14" width="18.6640625" bestFit="1" customWidth="1"/>
    <col min="17" max="17" width="11.83203125" bestFit="1" customWidth="1"/>
    <col min="18" max="18" width="12.83203125" bestFit="1" customWidth="1"/>
    <col min="20" max="20" width="12.83203125" bestFit="1" customWidth="1"/>
  </cols>
  <sheetData>
    <row r="1" spans="1:22" ht="30">
      <c r="A1" s="75" t="s">
        <v>53</v>
      </c>
      <c r="N1" s="75" t="s">
        <v>86</v>
      </c>
    </row>
    <row r="2" spans="1:22" ht="18">
      <c r="G2" s="7"/>
      <c r="N2" s="97" t="s">
        <v>99</v>
      </c>
      <c r="T2" s="92">
        <f>SUM(H4+35000)</f>
        <v>530000</v>
      </c>
    </row>
    <row r="3" spans="1:22" ht="16" thickBot="1">
      <c r="G3" s="7"/>
      <c r="H3" t="s">
        <v>61</v>
      </c>
    </row>
    <row r="4" spans="1:22" ht="24" thickBot="1">
      <c r="A4" s="35" t="s">
        <v>67</v>
      </c>
      <c r="B4" s="27"/>
      <c r="C4" s="27"/>
      <c r="D4" s="27"/>
      <c r="E4" s="27"/>
      <c r="F4" s="27"/>
      <c r="G4" s="28"/>
      <c r="H4" s="34">
        <v>495000</v>
      </c>
      <c r="N4" s="94">
        <f>SUM(T2)</f>
        <v>530000</v>
      </c>
      <c r="O4" s="93" t="s">
        <v>100</v>
      </c>
      <c r="P4" s="81"/>
      <c r="Q4" s="81"/>
      <c r="R4" s="81"/>
      <c r="S4" s="81"/>
      <c r="T4" s="81"/>
      <c r="U4" s="81"/>
      <c r="V4" s="81"/>
    </row>
    <row r="5" spans="1:22">
      <c r="A5" s="27"/>
      <c r="B5" s="27"/>
      <c r="C5" s="27"/>
      <c r="D5" s="27"/>
      <c r="E5" s="27"/>
      <c r="F5" s="27"/>
      <c r="G5" s="27"/>
      <c r="H5" s="33" t="s">
        <v>59</v>
      </c>
      <c r="N5" s="81"/>
      <c r="O5" s="81" t="s">
        <v>88</v>
      </c>
      <c r="P5" s="81" t="s">
        <v>89</v>
      </c>
      <c r="Q5" s="82" t="s">
        <v>90</v>
      </c>
      <c r="R5" s="82" t="s">
        <v>91</v>
      </c>
      <c r="S5" s="82"/>
      <c r="T5" s="82"/>
      <c r="U5" s="82"/>
      <c r="V5" s="82"/>
    </row>
    <row r="6" spans="1:22">
      <c r="A6" s="29" t="s">
        <v>55</v>
      </c>
      <c r="B6" s="27"/>
      <c r="C6" s="27"/>
      <c r="D6" s="27"/>
      <c r="E6" s="27"/>
      <c r="F6" s="27"/>
      <c r="G6" s="31" t="s">
        <v>57</v>
      </c>
      <c r="H6" s="31" t="s">
        <v>58</v>
      </c>
      <c r="N6" s="82" t="s">
        <v>92</v>
      </c>
      <c r="O6" s="83">
        <v>530000</v>
      </c>
      <c r="P6" s="83">
        <f>SUM(O6)*0.02</f>
        <v>10600</v>
      </c>
      <c r="Q6" s="83">
        <f>SUM(O6-H15)*0.25</f>
        <v>7512.5</v>
      </c>
      <c r="R6" s="83">
        <f>SUM(P6+Q6)</f>
        <v>18112.5</v>
      </c>
      <c r="S6" s="82"/>
      <c r="T6" s="82"/>
      <c r="U6" s="82"/>
      <c r="V6" s="82"/>
    </row>
    <row r="7" spans="1:22">
      <c r="A7" s="27"/>
      <c r="B7" s="27"/>
      <c r="C7" s="27"/>
      <c r="D7" s="27"/>
      <c r="E7" s="27"/>
      <c r="F7" s="27"/>
      <c r="G7" s="27"/>
      <c r="H7" s="27"/>
      <c r="N7" s="82" t="s">
        <v>93</v>
      </c>
      <c r="O7" s="83">
        <f>SUM(O6)</f>
        <v>530000</v>
      </c>
      <c r="P7" s="83">
        <f>SUM(O7)*0.05</f>
        <v>26500</v>
      </c>
      <c r="Q7" s="84" t="s">
        <v>94</v>
      </c>
      <c r="R7" s="83">
        <f>SUM(P7)</f>
        <v>26500</v>
      </c>
      <c r="S7" s="82"/>
      <c r="T7" s="82"/>
      <c r="U7" s="82"/>
      <c r="V7" s="82"/>
    </row>
    <row r="8" spans="1:22">
      <c r="A8" s="27" t="s">
        <v>54</v>
      </c>
      <c r="B8" s="27"/>
      <c r="C8" s="27"/>
      <c r="D8" s="27"/>
      <c r="E8" s="27"/>
      <c r="F8" s="27"/>
      <c r="G8" s="30">
        <f>SUM(H4*0.96)</f>
        <v>475200</v>
      </c>
      <c r="H8" s="32">
        <f>SUM(G8*0.95)</f>
        <v>451440</v>
      </c>
      <c r="N8" s="82" t="s">
        <v>87</v>
      </c>
      <c r="O8" s="83">
        <f>SUM(O6)</f>
        <v>530000</v>
      </c>
      <c r="P8" s="83"/>
      <c r="Q8" s="83"/>
      <c r="R8" s="83">
        <f>SUM(O8-R6-R7)</f>
        <v>485387.5</v>
      </c>
      <c r="S8" s="82"/>
      <c r="T8" s="82"/>
      <c r="U8" s="82"/>
      <c r="V8" s="82"/>
    </row>
    <row r="9" spans="1:22">
      <c r="A9" s="27" t="s">
        <v>73</v>
      </c>
      <c r="B9" s="27"/>
      <c r="C9" s="27"/>
      <c r="D9" s="27"/>
      <c r="E9" s="27"/>
      <c r="F9" s="27"/>
      <c r="G9" s="30">
        <f>SUM(H4*0.97)</f>
        <v>480150</v>
      </c>
      <c r="H9" s="32">
        <f>SUM(G9*0.95)</f>
        <v>456142.5</v>
      </c>
      <c r="N9" s="79"/>
      <c r="O9" s="79"/>
      <c r="P9" s="79"/>
      <c r="Q9" s="79"/>
      <c r="R9" s="79"/>
      <c r="S9" s="79"/>
      <c r="T9" s="79"/>
      <c r="U9" s="79"/>
      <c r="V9" s="79"/>
    </row>
    <row r="10" spans="1:22">
      <c r="A10" s="27" t="s">
        <v>74</v>
      </c>
      <c r="B10" s="27"/>
      <c r="C10" s="27"/>
      <c r="D10" s="27"/>
      <c r="E10" s="27"/>
      <c r="F10" s="27"/>
      <c r="G10" s="30">
        <f>SUM(H4*0.98)</f>
        <v>485100</v>
      </c>
      <c r="H10" s="32">
        <f>SUM(G10*0.95)</f>
        <v>460845</v>
      </c>
      <c r="N10" s="79"/>
      <c r="O10" s="79"/>
      <c r="P10" s="79"/>
      <c r="Q10" s="79"/>
      <c r="R10" s="79"/>
      <c r="S10" s="79"/>
      <c r="T10" s="79"/>
      <c r="U10" s="79"/>
      <c r="V10" s="79"/>
    </row>
    <row r="11" spans="1:22">
      <c r="A11" s="51" t="s">
        <v>75</v>
      </c>
      <c r="B11" s="51"/>
      <c r="C11" s="51"/>
      <c r="D11" s="51"/>
      <c r="E11" s="51"/>
      <c r="F11" s="51"/>
      <c r="G11" s="30">
        <f>SUM(H4*0.99)</f>
        <v>490050</v>
      </c>
      <c r="H11" s="32">
        <f>SUM(G11*0.95)</f>
        <v>465547.5</v>
      </c>
      <c r="I11" s="52"/>
      <c r="J11" s="52"/>
      <c r="N11" s="45"/>
      <c r="O11" s="45"/>
      <c r="P11" s="45"/>
      <c r="Q11" s="45"/>
      <c r="R11" s="45"/>
      <c r="S11" s="45"/>
      <c r="T11" s="45"/>
      <c r="U11" s="45"/>
      <c r="V11" s="45"/>
    </row>
    <row r="12" spans="1:22">
      <c r="A12" s="51" t="s">
        <v>76</v>
      </c>
      <c r="B12" s="51"/>
      <c r="C12" s="51"/>
      <c r="D12" s="51"/>
      <c r="E12" s="51"/>
      <c r="F12" s="51"/>
      <c r="G12" s="30">
        <f>SUM(H4*1)</f>
        <v>495000</v>
      </c>
      <c r="H12" s="32">
        <f>SUM(G12*0.95)</f>
        <v>470250</v>
      </c>
      <c r="I12" s="52"/>
      <c r="J12" s="52"/>
    </row>
    <row r="14" spans="1:22" ht="16" thickBot="1">
      <c r="H14" t="s">
        <v>62</v>
      </c>
    </row>
    <row r="15" spans="1:22" ht="24" thickBot="1">
      <c r="A15" s="44" t="s">
        <v>63</v>
      </c>
      <c r="B15" s="36"/>
      <c r="C15" s="36"/>
      <c r="D15" s="36"/>
      <c r="E15" s="36"/>
      <c r="F15" s="36"/>
      <c r="G15" s="37"/>
      <c r="H15" s="38">
        <f>SUM(H4*1.01)</f>
        <v>499950</v>
      </c>
      <c r="N15" s="95">
        <f>SUM(N4+15000)</f>
        <v>545000</v>
      </c>
      <c r="O15" s="87" t="s">
        <v>101</v>
      </c>
      <c r="P15" s="88"/>
      <c r="Q15" s="88"/>
      <c r="R15" s="88"/>
      <c r="S15" s="88"/>
      <c r="T15" s="88"/>
      <c r="U15" s="88"/>
      <c r="V15" s="88"/>
    </row>
    <row r="16" spans="1:22">
      <c r="A16" s="36"/>
      <c r="B16" s="36"/>
      <c r="C16" s="36"/>
      <c r="D16" s="36"/>
      <c r="E16" s="36"/>
      <c r="F16" s="36"/>
      <c r="G16" s="36"/>
      <c r="H16" s="39" t="s">
        <v>59</v>
      </c>
      <c r="N16" s="88"/>
      <c r="O16" s="88" t="s">
        <v>88</v>
      </c>
      <c r="P16" s="88" t="s">
        <v>89</v>
      </c>
      <c r="Q16" s="89" t="s">
        <v>90</v>
      </c>
      <c r="R16" s="89" t="s">
        <v>91</v>
      </c>
      <c r="S16" s="89"/>
      <c r="T16" s="89"/>
      <c r="U16" s="89"/>
      <c r="V16" s="89"/>
    </row>
    <row r="17" spans="1:22">
      <c r="A17" s="40" t="s">
        <v>56</v>
      </c>
      <c r="B17" s="36"/>
      <c r="C17" s="36"/>
      <c r="D17" s="36"/>
      <c r="E17" s="36"/>
      <c r="F17" s="36"/>
      <c r="G17" s="41" t="s">
        <v>57</v>
      </c>
      <c r="H17" s="41" t="s">
        <v>58</v>
      </c>
      <c r="N17" s="89" t="s">
        <v>95</v>
      </c>
      <c r="O17" s="90">
        <v>545000</v>
      </c>
      <c r="P17" s="90">
        <f>SUM(O17)*0.01</f>
        <v>5450</v>
      </c>
      <c r="Q17" s="90">
        <f>SUM(O17-H15)*0.35</f>
        <v>15767.499999999998</v>
      </c>
      <c r="R17" s="90">
        <f>SUM(P17+Q17)</f>
        <v>21217.5</v>
      </c>
      <c r="S17" s="89"/>
      <c r="T17" s="89"/>
      <c r="U17" s="89"/>
      <c r="V17" s="89"/>
    </row>
    <row r="18" spans="1:22">
      <c r="A18" s="36"/>
      <c r="B18" s="36"/>
      <c r="C18" s="36"/>
      <c r="D18" s="36"/>
      <c r="E18" s="36"/>
      <c r="F18" s="36"/>
      <c r="G18" s="36"/>
      <c r="H18" s="36"/>
      <c r="N18" s="89" t="s">
        <v>96</v>
      </c>
      <c r="O18" s="90">
        <f>SUM(O17)</f>
        <v>545000</v>
      </c>
      <c r="P18" s="90">
        <f>SUM(O18)*0.06</f>
        <v>32700</v>
      </c>
      <c r="Q18" s="91" t="s">
        <v>94</v>
      </c>
      <c r="R18" s="90">
        <f>SUM(P18)</f>
        <v>32700</v>
      </c>
      <c r="S18" s="89"/>
      <c r="T18" s="89"/>
      <c r="U18" s="89"/>
      <c r="V18" s="89"/>
    </row>
    <row r="19" spans="1:22">
      <c r="A19" s="36" t="s">
        <v>64</v>
      </c>
      <c r="B19" s="36"/>
      <c r="C19" s="36"/>
      <c r="D19" s="36"/>
      <c r="E19" s="36"/>
      <c r="F19" s="36"/>
      <c r="G19" s="42">
        <f>SUM(H15*1)</f>
        <v>499950</v>
      </c>
      <c r="H19" s="43">
        <f>SUM(G19*0.93)</f>
        <v>464953.5</v>
      </c>
      <c r="N19" s="89" t="s">
        <v>87</v>
      </c>
      <c r="O19" s="90">
        <f>SUM(O17)</f>
        <v>545000</v>
      </c>
      <c r="P19" s="90"/>
      <c r="Q19" s="90"/>
      <c r="R19" s="90">
        <f>SUM(O19-R17-R18)</f>
        <v>491082.5</v>
      </c>
      <c r="S19" s="89"/>
      <c r="T19" s="89"/>
      <c r="U19" s="89"/>
      <c r="V19" s="89"/>
    </row>
    <row r="20" spans="1:22">
      <c r="A20" s="36" t="s">
        <v>79</v>
      </c>
      <c r="B20" s="36"/>
      <c r="C20" s="36"/>
      <c r="D20" s="36"/>
      <c r="E20" s="36"/>
      <c r="F20" s="36"/>
      <c r="G20" s="42">
        <f>SUM(H15*1.01)</f>
        <v>504949.5</v>
      </c>
      <c r="H20" s="43">
        <f>SUM(G20*0.93)</f>
        <v>469603.03500000003</v>
      </c>
      <c r="J20" s="13" t="s">
        <v>60</v>
      </c>
    </row>
    <row r="21" spans="1:22">
      <c r="A21" s="36" t="s">
        <v>77</v>
      </c>
      <c r="B21" s="36"/>
      <c r="C21" s="36"/>
      <c r="D21" s="36"/>
      <c r="E21" s="36"/>
      <c r="F21" s="36"/>
      <c r="G21" s="42">
        <f>SUM(H15*1.02)</f>
        <v>509949</v>
      </c>
      <c r="H21" s="43">
        <f>SUM(G21*0.93)</f>
        <v>474252.57</v>
      </c>
    </row>
    <row r="22" spans="1:22" s="45" customFormat="1">
      <c r="A22" s="36" t="s">
        <v>65</v>
      </c>
      <c r="B22" s="36"/>
      <c r="C22" s="36"/>
      <c r="D22" s="36"/>
      <c r="E22" s="36"/>
      <c r="F22" s="36"/>
      <c r="G22" s="42">
        <f>SUM(H15*1.03)</f>
        <v>514948.5</v>
      </c>
      <c r="H22" s="43">
        <f>SUM(G22*0.93)</f>
        <v>478902.10500000004</v>
      </c>
      <c r="I22" s="52"/>
      <c r="J22" s="52"/>
    </row>
    <row r="23" spans="1:22" s="45" customFormat="1">
      <c r="A23" s="36" t="s">
        <v>66</v>
      </c>
      <c r="B23" s="36"/>
      <c r="C23" s="36"/>
      <c r="D23" s="36"/>
      <c r="E23" s="36"/>
      <c r="F23" s="36"/>
      <c r="G23" s="42">
        <f>SUM(H15*1.04)</f>
        <v>519948</v>
      </c>
      <c r="H23" s="43">
        <f>SUM(G23*0.93)</f>
        <v>483551.64</v>
      </c>
      <c r="I23" s="52"/>
      <c r="J23" s="52"/>
    </row>
    <row r="24" spans="1:22" s="45" customFormat="1">
      <c r="A24" s="53" t="s">
        <v>78</v>
      </c>
      <c r="B24" s="53"/>
      <c r="C24" s="53"/>
      <c r="D24" s="53"/>
      <c r="E24" s="53"/>
      <c r="F24" s="53"/>
      <c r="G24" s="42">
        <f>SUM(H15*1.05)</f>
        <v>524947.5</v>
      </c>
      <c r="H24" s="43">
        <f>SUM(G24*0.93)</f>
        <v>488201.17500000005</v>
      </c>
      <c r="I24" s="52"/>
      <c r="J24" s="52"/>
    </row>
    <row r="25" spans="1:22" s="45" customFormat="1" ht="18" customHeight="1">
      <c r="A25" s="74"/>
      <c r="B25" s="74"/>
      <c r="C25" s="74"/>
      <c r="D25" s="74"/>
      <c r="E25" s="74"/>
      <c r="F25" s="74"/>
      <c r="G25" s="46"/>
      <c r="H25" s="47"/>
      <c r="I25" s="74"/>
      <c r="J25" s="74"/>
    </row>
    <row r="26" spans="1:22" s="45" customFormat="1" ht="20" customHeight="1">
      <c r="G26" s="46"/>
      <c r="H26" s="47"/>
      <c r="N26" s="96">
        <f>SUM(N15+15000)</f>
        <v>560000</v>
      </c>
      <c r="O26" s="78" t="s">
        <v>102</v>
      </c>
      <c r="P26" s="76"/>
      <c r="Q26" s="76"/>
      <c r="R26" s="76"/>
      <c r="S26" s="76"/>
      <c r="T26" s="76"/>
      <c r="U26" s="76"/>
      <c r="V26" s="76"/>
    </row>
    <row r="27" spans="1:22" ht="19" customHeight="1">
      <c r="A27" s="50" t="s">
        <v>85</v>
      </c>
      <c r="B27" s="48"/>
      <c r="C27" s="48"/>
      <c r="D27" s="48"/>
      <c r="E27" s="48"/>
      <c r="F27" s="48"/>
      <c r="N27" s="76"/>
      <c r="O27" s="76" t="s">
        <v>88</v>
      </c>
      <c r="P27" s="76" t="s">
        <v>89</v>
      </c>
      <c r="Q27" s="77" t="s">
        <v>90</v>
      </c>
      <c r="R27" s="77" t="s">
        <v>91</v>
      </c>
      <c r="S27" s="77"/>
      <c r="T27" s="77"/>
      <c r="U27" s="77"/>
      <c r="V27" s="77"/>
    </row>
    <row r="28" spans="1:22" ht="16" customHeight="1">
      <c r="A28" s="54"/>
      <c r="B28" s="48"/>
      <c r="C28" s="48"/>
      <c r="D28" s="48"/>
      <c r="E28" s="48"/>
      <c r="F28" s="48"/>
      <c r="N28" s="77" t="s">
        <v>97</v>
      </c>
      <c r="O28" s="85">
        <v>560000</v>
      </c>
      <c r="P28" s="85">
        <f>SUM(O28)*0</f>
        <v>0</v>
      </c>
      <c r="Q28" s="85">
        <f>SUM(O28-H15)*0.45</f>
        <v>27022.5</v>
      </c>
      <c r="R28" s="85">
        <f>SUM(P28+Q28)</f>
        <v>27022.5</v>
      </c>
      <c r="S28" s="77"/>
      <c r="T28" s="77"/>
      <c r="U28" s="77"/>
      <c r="V28" s="77"/>
    </row>
    <row r="29" spans="1:22" ht="23" thickBot="1">
      <c r="A29" s="55" t="s">
        <v>82</v>
      </c>
      <c r="B29" s="56"/>
      <c r="C29" s="56"/>
      <c r="D29" s="56"/>
      <c r="E29" s="56"/>
      <c r="F29" s="56"/>
      <c r="G29" s="57"/>
      <c r="H29" s="58">
        <f>SUM(H15*F31)</f>
        <v>514948.5</v>
      </c>
      <c r="N29" s="77" t="s">
        <v>98</v>
      </c>
      <c r="O29" s="85">
        <f>SUM(O28)</f>
        <v>560000</v>
      </c>
      <c r="P29" s="85">
        <f>SUM(O29)*0.07</f>
        <v>39200.000000000007</v>
      </c>
      <c r="Q29" s="86" t="s">
        <v>94</v>
      </c>
      <c r="R29" s="85">
        <f>SUM(P29)</f>
        <v>39200.000000000007</v>
      </c>
      <c r="S29" s="77"/>
      <c r="T29" s="77"/>
      <c r="U29" s="77"/>
      <c r="V29" s="77"/>
    </row>
    <row r="30" spans="1:22" ht="17" customHeight="1">
      <c r="A30" s="59" t="s">
        <v>68</v>
      </c>
      <c r="B30" s="60"/>
      <c r="C30" s="60"/>
      <c r="D30" s="60"/>
      <c r="E30" s="60"/>
      <c r="F30" s="60"/>
      <c r="G30" s="61" t="s">
        <v>57</v>
      </c>
      <c r="H30" s="62" t="s">
        <v>58</v>
      </c>
      <c r="N30" s="77" t="s">
        <v>87</v>
      </c>
      <c r="O30" s="85">
        <f>SUM(O28)</f>
        <v>560000</v>
      </c>
      <c r="P30" s="85"/>
      <c r="Q30" s="85"/>
      <c r="R30" s="85">
        <f>SUM(O30-R28-R29)</f>
        <v>493777.5</v>
      </c>
      <c r="S30" s="77"/>
      <c r="T30" s="77"/>
      <c r="U30" s="77"/>
      <c r="V30" s="77"/>
    </row>
    <row r="31" spans="1:22">
      <c r="A31" s="63" t="s">
        <v>80</v>
      </c>
      <c r="B31" s="60"/>
      <c r="C31" s="60"/>
      <c r="D31" s="60"/>
      <c r="E31" s="60"/>
      <c r="F31" s="60">
        <v>1.03</v>
      </c>
      <c r="G31" s="49">
        <f>SUM(H15*1.03)</f>
        <v>514948.5</v>
      </c>
      <c r="H31" s="64">
        <f>SUM(G31*0.93)-G32</f>
        <v>477402.25500000006</v>
      </c>
    </row>
    <row r="32" spans="1:22">
      <c r="A32" s="65"/>
      <c r="B32" s="1"/>
      <c r="C32" s="1"/>
      <c r="D32" s="1"/>
      <c r="E32" s="1"/>
      <c r="F32" s="66" t="s">
        <v>70</v>
      </c>
      <c r="G32" s="60">
        <f>SUM((H29-H15)*0.1)</f>
        <v>1499.8500000000001</v>
      </c>
      <c r="H32" s="67"/>
      <c r="O32" s="80"/>
      <c r="P32" s="80"/>
      <c r="Q32" s="80"/>
      <c r="R32" s="80"/>
    </row>
    <row r="33" spans="1:8">
      <c r="A33" s="65"/>
      <c r="B33" s="1"/>
      <c r="C33" s="1"/>
      <c r="D33" s="1"/>
      <c r="E33" s="1"/>
      <c r="F33" s="66" t="s">
        <v>71</v>
      </c>
      <c r="G33" s="68">
        <f>SUM(H29*0.03)</f>
        <v>15448.455</v>
      </c>
      <c r="H33" s="67"/>
    </row>
    <row r="34" spans="1:8">
      <c r="A34" s="69"/>
      <c r="B34" s="70"/>
      <c r="C34" s="70"/>
      <c r="D34" s="70"/>
      <c r="E34" s="70"/>
      <c r="F34" s="71" t="s">
        <v>72</v>
      </c>
      <c r="G34" s="72">
        <f>SUM(G32:G33)</f>
        <v>16948.305</v>
      </c>
      <c r="H34" s="73"/>
    </row>
    <row r="35" spans="1:8" ht="23" thickBot="1">
      <c r="A35" s="55" t="s">
        <v>83</v>
      </c>
      <c r="B35" s="56"/>
      <c r="C35" s="56"/>
      <c r="D35" s="56"/>
      <c r="E35" s="56"/>
      <c r="F35" s="56"/>
      <c r="G35" s="57"/>
      <c r="H35" s="58">
        <f>SUM(H15*F37)</f>
        <v>519948</v>
      </c>
    </row>
    <row r="36" spans="1:8">
      <c r="A36" s="59" t="s">
        <v>68</v>
      </c>
      <c r="B36" s="60"/>
      <c r="C36" s="60"/>
      <c r="D36" s="60"/>
      <c r="E36" s="60"/>
      <c r="F36" s="60"/>
      <c r="G36" s="61" t="s">
        <v>57</v>
      </c>
      <c r="H36" s="62" t="s">
        <v>58</v>
      </c>
    </row>
    <row r="37" spans="1:8">
      <c r="A37" s="63" t="s">
        <v>81</v>
      </c>
      <c r="B37" s="60"/>
      <c r="C37" s="60"/>
      <c r="D37" s="60"/>
      <c r="E37" s="60"/>
      <c r="F37" s="60">
        <v>1.04</v>
      </c>
      <c r="G37" s="49">
        <f>SUM(H15*1.04)</f>
        <v>519948</v>
      </c>
      <c r="H37" s="64">
        <f>SUM(G37*0.93)-G38</f>
        <v>481551.84</v>
      </c>
    </row>
    <row r="38" spans="1:8">
      <c r="A38" s="65"/>
      <c r="B38" s="1"/>
      <c r="C38" s="1"/>
      <c r="D38" s="1"/>
      <c r="E38" s="1"/>
      <c r="F38" s="66" t="s">
        <v>70</v>
      </c>
      <c r="G38" s="60">
        <f>SUM((H35-H15)*0.1)</f>
        <v>1999.8000000000002</v>
      </c>
      <c r="H38" s="67"/>
    </row>
    <row r="39" spans="1:8">
      <c r="A39" s="65"/>
      <c r="B39" s="1"/>
      <c r="C39" s="1"/>
      <c r="D39" s="1"/>
      <c r="E39" s="1"/>
      <c r="F39" s="66" t="s">
        <v>71</v>
      </c>
      <c r="G39" s="68">
        <f>SUM(H35*0.03)</f>
        <v>15598.439999999999</v>
      </c>
      <c r="H39" s="67"/>
    </row>
    <row r="40" spans="1:8">
      <c r="A40" s="69"/>
      <c r="B40" s="70"/>
      <c r="C40" s="70"/>
      <c r="D40" s="70"/>
      <c r="E40" s="70"/>
      <c r="F40" s="71" t="s">
        <v>72</v>
      </c>
      <c r="G40" s="72">
        <f>SUM(G38:G39)</f>
        <v>17598.239999999998</v>
      </c>
      <c r="H40" s="73"/>
    </row>
    <row r="41" spans="1:8" ht="23" thickBot="1">
      <c r="A41" s="55" t="s">
        <v>84</v>
      </c>
      <c r="B41" s="56"/>
      <c r="C41" s="56"/>
      <c r="D41" s="56"/>
      <c r="E41" s="56"/>
      <c r="F41" s="56"/>
      <c r="G41" s="57"/>
      <c r="H41" s="58">
        <f>SUM(H15*F43)</f>
        <v>524947.5</v>
      </c>
    </row>
    <row r="42" spans="1:8">
      <c r="A42" s="59" t="s">
        <v>68</v>
      </c>
      <c r="B42" s="60"/>
      <c r="C42" s="60"/>
      <c r="D42" s="60"/>
      <c r="E42" s="60"/>
      <c r="F42" s="60"/>
      <c r="G42" s="61" t="s">
        <v>57</v>
      </c>
      <c r="H42" s="62" t="s">
        <v>58</v>
      </c>
    </row>
    <row r="43" spans="1:8">
      <c r="A43" s="63" t="s">
        <v>69</v>
      </c>
      <c r="B43" s="60"/>
      <c r="C43" s="60"/>
      <c r="D43" s="60"/>
      <c r="E43" s="60"/>
      <c r="F43" s="60">
        <v>1.05</v>
      </c>
      <c r="G43" s="49">
        <f>SUM(H15*1.05)</f>
        <v>524947.5</v>
      </c>
      <c r="H43" s="64">
        <f>SUM(G43*0.93)-G44</f>
        <v>485701.42500000005</v>
      </c>
    </row>
    <row r="44" spans="1:8">
      <c r="A44" s="65"/>
      <c r="B44" s="1"/>
      <c r="C44" s="1"/>
      <c r="D44" s="1"/>
      <c r="E44" s="1"/>
      <c r="F44" s="66" t="s">
        <v>70</v>
      </c>
      <c r="G44" s="60">
        <f>SUM((H41-H15)*0.1)</f>
        <v>2499.75</v>
      </c>
      <c r="H44" s="67"/>
    </row>
    <row r="45" spans="1:8">
      <c r="A45" s="65"/>
      <c r="B45" s="1"/>
      <c r="C45" s="1"/>
      <c r="D45" s="1"/>
      <c r="E45" s="1"/>
      <c r="F45" s="66" t="s">
        <v>71</v>
      </c>
      <c r="G45" s="68">
        <f>SUM(H41*0.03)</f>
        <v>15748.424999999999</v>
      </c>
      <c r="H45" s="67"/>
    </row>
    <row r="46" spans="1:8">
      <c r="A46" s="69"/>
      <c r="B46" s="70"/>
      <c r="C46" s="70"/>
      <c r="D46" s="70"/>
      <c r="E46" s="70"/>
      <c r="F46" s="71" t="s">
        <v>72</v>
      </c>
      <c r="G46" s="72">
        <f>SUM(G44:G45)</f>
        <v>18248.174999999999</v>
      </c>
      <c r="H46" s="73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20" zoomScale="125" zoomScaleNormal="125" zoomScalePageLayoutView="125" workbookViewId="0">
      <selection activeCell="I13" sqref="I13"/>
    </sheetView>
  </sheetViews>
  <sheetFormatPr baseColWidth="10" defaultRowHeight="15" x14ac:dyDescent="0"/>
  <cols>
    <col min="6" max="6" width="14.33203125" customWidth="1"/>
    <col min="7" max="7" width="11.1640625" bestFit="1" customWidth="1"/>
    <col min="9" max="9" width="15.1640625" style="5" bestFit="1" customWidth="1"/>
    <col min="12" max="12" width="15" customWidth="1"/>
    <col min="13" max="13" width="11.5" bestFit="1" customWidth="1"/>
    <col min="14" max="14" width="11.6640625" customWidth="1"/>
    <col min="15" max="15" width="11.5" bestFit="1" customWidth="1"/>
  </cols>
  <sheetData>
    <row r="1" spans="1:10" ht="30">
      <c r="A1" s="3" t="s">
        <v>11</v>
      </c>
    </row>
    <row r="3" spans="1:10">
      <c r="A3" t="s">
        <v>30</v>
      </c>
    </row>
    <row r="4" spans="1:10">
      <c r="A4" t="s">
        <v>31</v>
      </c>
    </row>
    <row r="6" spans="1:10" ht="16" thickBot="1"/>
    <row r="7" spans="1:10" ht="16" thickBot="1">
      <c r="A7" t="s">
        <v>13</v>
      </c>
      <c r="D7" s="1"/>
      <c r="E7" s="1"/>
      <c r="I7" s="6">
        <v>1990000</v>
      </c>
      <c r="J7" t="s">
        <v>32</v>
      </c>
    </row>
    <row r="10" spans="1:10" ht="23">
      <c r="A10" s="4" t="s">
        <v>0</v>
      </c>
    </row>
    <row r="11" spans="1:10">
      <c r="A11" t="s">
        <v>1</v>
      </c>
    </row>
    <row r="12" spans="1:10" ht="16" thickBot="1"/>
    <row r="13" spans="1:10" ht="16" thickBot="1">
      <c r="A13" t="s">
        <v>2</v>
      </c>
      <c r="I13" s="6">
        <f>SUM(I7*0.95)</f>
        <v>1890500</v>
      </c>
      <c r="J13" t="s">
        <v>29</v>
      </c>
    </row>
    <row r="14" spans="1:10">
      <c r="A14" t="s">
        <v>14</v>
      </c>
    </row>
    <row r="15" spans="1:10" ht="16" thickBot="1"/>
    <row r="16" spans="1:10" ht="16" thickBot="1">
      <c r="A16" t="s">
        <v>3</v>
      </c>
      <c r="I16" s="8">
        <f>SUM(I7*0.93)</f>
        <v>1850700</v>
      </c>
      <c r="J16" t="s">
        <v>26</v>
      </c>
    </row>
    <row r="17" spans="1:10">
      <c r="A17" t="s">
        <v>12</v>
      </c>
    </row>
    <row r="18" spans="1:10" ht="16" thickBot="1"/>
    <row r="19" spans="1:10" ht="16" thickBot="1">
      <c r="A19" t="s">
        <v>33</v>
      </c>
      <c r="I19" s="6">
        <f>SUM((I7*0.96)*0.95)</f>
        <v>1814880</v>
      </c>
      <c r="J19" t="s">
        <v>27</v>
      </c>
    </row>
    <row r="20" spans="1:10">
      <c r="A20" t="s">
        <v>16</v>
      </c>
    </row>
    <row r="21" spans="1:10" ht="16" thickBot="1"/>
    <row r="22" spans="1:10" ht="16" thickBot="1">
      <c r="A22" t="s">
        <v>15</v>
      </c>
      <c r="I22" s="6">
        <f>SUM((I7*0.979)*0.95)</f>
        <v>1850799.5</v>
      </c>
      <c r="J22" t="s">
        <v>28</v>
      </c>
    </row>
    <row r="23" spans="1:10">
      <c r="A23" t="s">
        <v>17</v>
      </c>
      <c r="I23" s="7"/>
    </row>
    <row r="24" spans="1:10">
      <c r="A24" t="s">
        <v>18</v>
      </c>
      <c r="I24" s="7"/>
    </row>
    <row r="25" spans="1:10" ht="20">
      <c r="A25" s="12" t="s">
        <v>34</v>
      </c>
      <c r="I25" s="7"/>
    </row>
    <row r="27" spans="1:10" ht="23">
      <c r="A27" s="4" t="s">
        <v>4</v>
      </c>
    </row>
    <row r="28" spans="1:10">
      <c r="A28" t="s">
        <v>5</v>
      </c>
    </row>
    <row r="29" spans="1:10" ht="16" thickBot="1"/>
    <row r="30" spans="1:10" ht="16" thickBot="1">
      <c r="A30" s="2" t="s">
        <v>6</v>
      </c>
      <c r="I30" s="6">
        <f>SUM(I7*1.01)</f>
        <v>2009900</v>
      </c>
      <c r="J30" s="11" t="s">
        <v>35</v>
      </c>
    </row>
    <row r="31" spans="1:10">
      <c r="A31" t="s">
        <v>21</v>
      </c>
      <c r="I31"/>
    </row>
    <row r="32" spans="1:10" ht="16" thickBot="1"/>
    <row r="33" spans="1:15" ht="16" thickBot="1">
      <c r="A33" t="s">
        <v>7</v>
      </c>
      <c r="I33" s="8">
        <f>SUM(I30*0.93)</f>
        <v>1869207</v>
      </c>
    </row>
    <row r="34" spans="1:15">
      <c r="A34" t="s">
        <v>19</v>
      </c>
      <c r="I34" s="7"/>
    </row>
    <row r="35" spans="1:15">
      <c r="A35" t="s">
        <v>20</v>
      </c>
      <c r="I35"/>
    </row>
    <row r="36" spans="1:15" ht="16" thickBot="1">
      <c r="I36"/>
    </row>
    <row r="37" spans="1:15" ht="20">
      <c r="I37"/>
      <c r="M37" s="14" t="s">
        <v>48</v>
      </c>
      <c r="N37" s="15"/>
      <c r="O37" s="16"/>
    </row>
    <row r="38" spans="1:15" ht="24" thickBot="1">
      <c r="A38" s="4" t="s">
        <v>22</v>
      </c>
      <c r="M38" s="17" t="s">
        <v>46</v>
      </c>
      <c r="N38" s="18" t="s">
        <v>47</v>
      </c>
      <c r="O38" s="19" t="s">
        <v>50</v>
      </c>
    </row>
    <row r="39" spans="1:15" ht="16" thickBot="1">
      <c r="A39" t="s">
        <v>8</v>
      </c>
      <c r="I39" s="8">
        <f>SUM(I30*1.01)*0.93</f>
        <v>1887899.07</v>
      </c>
      <c r="J39" t="s">
        <v>36</v>
      </c>
      <c r="L39" s="13">
        <f>SUM(I30*1.01)</f>
        <v>2029999</v>
      </c>
      <c r="M39" s="20">
        <f>SUM(L39*0.03)</f>
        <v>60899.97</v>
      </c>
      <c r="N39" s="21">
        <f>SUM(L39-I30)*0.1</f>
        <v>2009.9</v>
      </c>
      <c r="O39" s="22">
        <f>SUM(M39:N39)</f>
        <v>62909.87</v>
      </c>
    </row>
    <row r="40" spans="1:15" ht="16" thickBot="1">
      <c r="A40" t="s">
        <v>23</v>
      </c>
      <c r="I40" s="9"/>
      <c r="M40" s="23"/>
      <c r="N40" s="1"/>
      <c r="O40" s="19"/>
    </row>
    <row r="41" spans="1:15" ht="16" thickBot="1">
      <c r="A41" t="s">
        <v>9</v>
      </c>
      <c r="I41" s="8">
        <f>SUM((I30*1.03)*0.93)</f>
        <v>1925283.2100000002</v>
      </c>
      <c r="J41" t="s">
        <v>36</v>
      </c>
      <c r="L41" s="13">
        <f>SUM(I30*1.03)</f>
        <v>2070197</v>
      </c>
      <c r="M41" s="20">
        <f>SUM(L41*0.03)</f>
        <v>62105.909999999996</v>
      </c>
      <c r="N41" s="21">
        <f>SUM(L41-I30)*0.1</f>
        <v>6029.7000000000007</v>
      </c>
      <c r="O41" s="22">
        <f>SUM(M41:N41)</f>
        <v>68135.61</v>
      </c>
    </row>
    <row r="42" spans="1:15" ht="16" thickBot="1">
      <c r="A42" t="s">
        <v>24</v>
      </c>
      <c r="I42" s="9"/>
      <c r="M42" s="23"/>
      <c r="N42" s="1"/>
      <c r="O42" s="19"/>
    </row>
    <row r="43" spans="1:15" ht="16" thickBot="1">
      <c r="A43" t="s">
        <v>10</v>
      </c>
      <c r="I43" s="8">
        <f>SUM((I30*1.05)*0.93)</f>
        <v>1962667.35</v>
      </c>
      <c r="J43" t="s">
        <v>36</v>
      </c>
      <c r="L43" s="13">
        <f>SUM(I30*1.05)</f>
        <v>2110395</v>
      </c>
      <c r="M43" s="24">
        <f>SUM(L43*0.03)</f>
        <v>63311.85</v>
      </c>
      <c r="N43" s="25">
        <f>SUM(L43-I30)*0.1</f>
        <v>10049.5</v>
      </c>
      <c r="O43" s="26">
        <f>SUM(M43:N43)</f>
        <v>73361.350000000006</v>
      </c>
    </row>
    <row r="44" spans="1:15">
      <c r="A44" t="s">
        <v>25</v>
      </c>
    </row>
    <row r="47" spans="1:15">
      <c r="A47" s="10" t="s">
        <v>39</v>
      </c>
    </row>
    <row r="48" spans="1:15">
      <c r="A48" t="s">
        <v>40</v>
      </c>
      <c r="F48" s="13">
        <f>SUM(I7*0.95)</f>
        <v>1890500</v>
      </c>
    </row>
    <row r="49" spans="1:8">
      <c r="A49" t="s">
        <v>41</v>
      </c>
      <c r="F49" s="13">
        <f>SUM(I30*1.01)*0.93</f>
        <v>1887899.07</v>
      </c>
    </row>
    <row r="50" spans="1:8">
      <c r="A50" t="s">
        <v>43</v>
      </c>
      <c r="F50" s="13">
        <f>SUM(I30*0.93)</f>
        <v>1869207</v>
      </c>
    </row>
    <row r="51" spans="1:8">
      <c r="A51" t="s">
        <v>42</v>
      </c>
      <c r="F51" s="13"/>
    </row>
    <row r="52" spans="1:8">
      <c r="A52" t="s">
        <v>44</v>
      </c>
      <c r="F52" s="13"/>
      <c r="G52" s="13">
        <f>SUM(F48-F50)</f>
        <v>21293</v>
      </c>
      <c r="H52" t="s">
        <v>45</v>
      </c>
    </row>
    <row r="54" spans="1:8">
      <c r="A54" t="s">
        <v>37</v>
      </c>
    </row>
    <row r="55" spans="1:8">
      <c r="A55" t="s">
        <v>38</v>
      </c>
    </row>
    <row r="56" spans="1:8">
      <c r="A56" t="s">
        <v>49</v>
      </c>
    </row>
    <row r="57" spans="1:8">
      <c r="A57" t="s">
        <v>51</v>
      </c>
    </row>
    <row r="58" spans="1:8">
      <c r="A58" t="s">
        <v>52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7% SPREADSHEET (EASY)</vt:lpstr>
      <vt:lpstr>7% SPREADSHEET</vt:lpstr>
    </vt:vector>
  </TitlesOfParts>
  <Company>The Career Compass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Wellington Pendell</dc:creator>
  <cp:lastModifiedBy>Beef Wellington</cp:lastModifiedBy>
  <dcterms:created xsi:type="dcterms:W3CDTF">2014-04-30T15:13:24Z</dcterms:created>
  <dcterms:modified xsi:type="dcterms:W3CDTF">2017-11-06T08:13:55Z</dcterms:modified>
</cp:coreProperties>
</file>